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9390" activeTab="0"/>
  </bookViews>
  <sheets>
    <sheet name="Firepower" sheetId="1" r:id="rId1"/>
    <sheet name="Aliens" sheetId="2" r:id="rId2"/>
  </sheets>
  <definedNames>
    <definedName name="Armour">'Firepower'!$AB$28</definedName>
    <definedName name="TerrorAreaMult">'Firepower'!$AB$27</definedName>
  </definedNames>
  <calcPr fullCalcOnLoad="1"/>
</workbook>
</file>

<file path=xl/sharedStrings.xml><?xml version="1.0" encoding="utf-8"?>
<sst xmlns="http://schemas.openxmlformats.org/spreadsheetml/2006/main" count="129" uniqueCount="104">
  <si>
    <t>Pistol</t>
  </si>
  <si>
    <t>Rifle</t>
  </si>
  <si>
    <t>HC - AP</t>
  </si>
  <si>
    <t>HC - HE</t>
  </si>
  <si>
    <t>AC - AP</t>
  </si>
  <si>
    <t>Weapon</t>
  </si>
  <si>
    <t>Amm</t>
  </si>
  <si>
    <t>Sn%</t>
  </si>
  <si>
    <t>SnR</t>
  </si>
  <si>
    <t>SnA</t>
  </si>
  <si>
    <t>Au%</t>
  </si>
  <si>
    <t>AuA</t>
  </si>
  <si>
    <t>AuR</t>
  </si>
  <si>
    <t>Ai%</t>
  </si>
  <si>
    <t>AiA</t>
  </si>
  <si>
    <t>AiR</t>
  </si>
  <si>
    <t>FPL</t>
  </si>
  <si>
    <t>FPX</t>
  </si>
  <si>
    <t>PlasmaP</t>
  </si>
  <si>
    <t>PlasmaR</t>
  </si>
  <si>
    <t>LaserP</t>
  </si>
  <si>
    <t>LaserR</t>
  </si>
  <si>
    <t>AC - HE</t>
  </si>
  <si>
    <t>Grenade</t>
  </si>
  <si>
    <t>HE Pack</t>
  </si>
  <si>
    <t>Stun Rod</t>
  </si>
  <si>
    <t>HvyPlas</t>
  </si>
  <si>
    <t>HvyLas</t>
  </si>
  <si>
    <t>Typ</t>
  </si>
  <si>
    <t>AP</t>
  </si>
  <si>
    <t>HE</t>
  </si>
  <si>
    <t>Alien Grd</t>
  </si>
  <si>
    <t>Stun Bmb</t>
  </si>
  <si>
    <t>Blast Bmb</t>
  </si>
  <si>
    <t>HE/area attacks: only evaluating a direct hit vs the primary target</t>
  </si>
  <si>
    <t xml:space="preserve">FPX is close range firepower, or more correctly, when there are no aiming issues. </t>
  </si>
  <si>
    <t>RocketSm</t>
  </si>
  <si>
    <t>RocketLg</t>
  </si>
  <si>
    <t>Armour Level</t>
  </si>
  <si>
    <t>FPX and FPL are figures of merit, representing two different extremes.</t>
  </si>
  <si>
    <t>Stun Rod "Stun" shown here as Snap. Blaster "Launch" shown here as Snap (Acc=100%?)</t>
  </si>
  <si>
    <t>Also consider "multi-mode": best mix of all attack types in a turn</t>
  </si>
  <si>
    <t>Las</t>
  </si>
  <si>
    <t>IC</t>
  </si>
  <si>
    <t>Stun</t>
  </si>
  <si>
    <t>Plas</t>
  </si>
  <si>
    <t>Resistant / Vulnerable:</t>
  </si>
  <si>
    <t>Ammo Type</t>
  </si>
  <si>
    <t>Damage Modifier Category</t>
  </si>
  <si>
    <t>T+I</t>
  </si>
  <si>
    <t>Hu+</t>
  </si>
  <si>
    <t>PA</t>
  </si>
  <si>
    <t>PS</t>
  </si>
  <si>
    <t>Tnk</t>
  </si>
  <si>
    <t>Snk</t>
  </si>
  <si>
    <t>Eth</t>
  </si>
  <si>
    <t>Mut</t>
  </si>
  <si>
    <t>Sil</t>
  </si>
  <si>
    <t>Chr</t>
  </si>
  <si>
    <t>Rea</t>
  </si>
  <si>
    <t>Sec</t>
  </si>
  <si>
    <t>Cyb</t>
  </si>
  <si>
    <t>Zom</t>
  </si>
  <si>
    <t>Armour Piercing</t>
  </si>
  <si>
    <t>Incendiary</t>
  </si>
  <si>
    <t>High-Explosive</t>
  </si>
  <si>
    <t>Laser</t>
  </si>
  <si>
    <t>Plasma</t>
  </si>
  <si>
    <t>Melee</t>
  </si>
  <si>
    <t>Acid Spit</t>
  </si>
  <si>
    <t>mFPL</t>
  </si>
  <si>
    <t>mFPX</t>
  </si>
  <si>
    <t>rmFPX</t>
  </si>
  <si>
    <t>rmFPL</t>
  </si>
  <si>
    <t>Alien:</t>
  </si>
  <si>
    <t>Cyberdisc</t>
  </si>
  <si>
    <t>IC is totally omitted as Fire Damage has no relation to the weapon value.</t>
  </si>
  <si>
    <t>pNZ</t>
  </si>
  <si>
    <t>AvDm</t>
  </si>
  <si>
    <t>MnRD</t>
  </si>
  <si>
    <t>MxRD</t>
  </si>
  <si>
    <t>MnAD</t>
  </si>
  <si>
    <t>MxAD</t>
  </si>
  <si>
    <t>TyX</t>
  </si>
  <si>
    <t>TyD</t>
  </si>
  <si>
    <t>BaD</t>
  </si>
  <si>
    <t xml:space="preserve">FPL is firepower for difficult shots, eg long range or obscured targets, where a slight aiming error misses. </t>
  </si>
  <si>
    <t>FPX cannot be compared directly to FPL, not least because of weapons with over 100% base accuracy.</t>
  </si>
  <si>
    <r>
      <t>Auto Modes:</t>
    </r>
    <r>
      <rPr>
        <sz val="10"/>
        <rFont val="Arial"/>
        <family val="0"/>
      </rPr>
      <t xml:space="preserve"> Pistol is for XcomUtil game variant. HvyLas is for Seb76's UFOExtender</t>
    </r>
  </si>
  <si>
    <r>
      <t xml:space="preserve">Formula assumes thatTyp multiplier is applied </t>
    </r>
    <r>
      <rPr>
        <b/>
        <sz val="10"/>
        <color indexed="10"/>
        <rFont val="Arial"/>
        <family val="2"/>
      </rPr>
      <t>before</t>
    </r>
    <r>
      <rPr>
        <sz val="10"/>
        <color indexed="10"/>
        <rFont val="Arial"/>
        <family val="0"/>
      </rPr>
      <t xml:space="preserve"> armour reduction - CHECK THIS</t>
    </r>
  </si>
  <si>
    <t>xMin</t>
  </si>
  <si>
    <t>xMax</t>
  </si>
  <si>
    <t>NB this table is changed slightly from Ufopaedia, to put rows 4-9 in alphabetical order so they can be used with a VLOOKUP</t>
  </si>
  <si>
    <r>
      <t xml:space="preserve">Paste 1 column x 6 rows (between horizontal red lines) </t>
    </r>
    <r>
      <rPr>
        <b/>
        <i/>
        <sz val="10"/>
        <rFont val="Arial"/>
        <family val="2"/>
      </rPr>
      <t>As Values</t>
    </r>
    <r>
      <rPr>
        <b/>
        <sz val="10"/>
        <rFont val="Arial"/>
        <family val="2"/>
      </rPr>
      <t xml:space="preserve"> into the Resistant/Vulnerable section outlined in Green on Firepower Tab</t>
    </r>
  </si>
  <si>
    <t>Snap Fire</t>
  </si>
  <si>
    <t>Auto Fire</t>
  </si>
  <si>
    <t>Aimed Fire</t>
  </si>
  <si>
    <t>Figure of Merit</t>
  </si>
  <si>
    <t xml:space="preserve">Rank Order </t>
  </si>
  <si>
    <t>To Do: 1. Alien armour levels 2. HWP/Terror weapons 3. Multiple thrown HE weapons/turn.</t>
  </si>
  <si>
    <t>FIREPOWER</t>
  </si>
  <si>
    <t>Area</t>
  </si>
  <si>
    <t>Area Damage FudgeFactor</t>
  </si>
  <si>
    <t>Crude FudgeFactor for effect of area weapons vs Terrorists, eg x 2.50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</si>
</sst>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ck">
        <color indexed="23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3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0" borderId="5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Fill="1" applyBorder="1" applyAlignment="1" applyProtection="1">
      <alignment/>
      <protection/>
    </xf>
    <xf numFmtId="1" fontId="0" fillId="0" borderId="3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4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1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2" borderId="13" xfId="0" applyFill="1" applyBorder="1" applyAlignment="1">
      <alignment wrapText="1"/>
    </xf>
    <xf numFmtId="0" fontId="6" fillId="3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wrapText="1"/>
    </xf>
    <xf numFmtId="0" fontId="6" fillId="3" borderId="16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6" fillId="3" borderId="19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6" fillId="3" borderId="22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1" fillId="0" borderId="0" xfId="0" applyFont="1" applyAlignment="1">
      <alignment/>
    </xf>
    <xf numFmtId="168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7" xfId="0" applyFont="1" applyBorder="1" applyAlignment="1">
      <alignment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168" fontId="5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1" fontId="1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A1">
      <selection activeCell="AB28" sqref="AB28"/>
    </sheetView>
  </sheetViews>
  <sheetFormatPr defaultColWidth="9.140625" defaultRowHeight="12.75"/>
  <cols>
    <col min="1" max="1" width="6.8515625" style="0" customWidth="1"/>
    <col min="2" max="2" width="5.7109375" style="0" customWidth="1"/>
    <col min="3" max="3" width="4.8515625" style="0" bestFit="1" customWidth="1"/>
    <col min="4" max="4" width="4.8515625" style="0" hidden="1" customWidth="1"/>
    <col min="5" max="6" width="4.00390625" style="0" hidden="1" customWidth="1"/>
    <col min="7" max="7" width="4.28125" style="0" hidden="1" customWidth="1"/>
    <col min="8" max="11" width="6.140625" style="0" hidden="1" customWidth="1"/>
    <col min="12" max="12" width="4.57421875" style="0" hidden="1" customWidth="1"/>
    <col min="13" max="13" width="5.8515625" style="0" bestFit="1" customWidth="1"/>
    <col min="14" max="14" width="5.421875" style="0" bestFit="1" customWidth="1"/>
    <col min="15" max="15" width="5.00390625" style="0" bestFit="1" customWidth="1"/>
    <col min="16" max="17" width="4.57421875" style="0" bestFit="1" customWidth="1"/>
    <col min="18" max="19" width="4.421875" style="2" bestFit="1" customWidth="1"/>
    <col min="20" max="20" width="5.00390625" style="0" bestFit="1" customWidth="1"/>
    <col min="21" max="22" width="4.57421875" style="0" bestFit="1" customWidth="1"/>
    <col min="23" max="24" width="4.421875" style="3" bestFit="1" customWidth="1"/>
    <col min="25" max="25" width="4.421875" style="0" customWidth="1"/>
    <col min="26" max="26" width="4.00390625" style="0" bestFit="1" customWidth="1"/>
    <col min="27" max="27" width="4.8515625" style="0" bestFit="1" customWidth="1"/>
    <col min="28" max="28" width="5.28125" style="3" bestFit="1" customWidth="1"/>
    <col min="29" max="29" width="4.421875" style="3" bestFit="1" customWidth="1"/>
    <col min="30" max="31" width="6.00390625" style="3" bestFit="1" customWidth="1"/>
    <col min="32" max="33" width="6.57421875" style="0" bestFit="1" customWidth="1"/>
    <col min="34" max="16384" width="6.8515625" style="0" customWidth="1"/>
  </cols>
  <sheetData>
    <row r="1" spans="1:33" ht="12.75">
      <c r="A1" s="55" t="s">
        <v>100</v>
      </c>
      <c r="O1" s="29"/>
      <c r="P1" s="108" t="s">
        <v>94</v>
      </c>
      <c r="Q1" s="108"/>
      <c r="R1" s="109"/>
      <c r="S1" s="110"/>
      <c r="T1" s="103"/>
      <c r="U1" s="108" t="s">
        <v>95</v>
      </c>
      <c r="V1" s="108"/>
      <c r="W1" s="111"/>
      <c r="X1" s="112"/>
      <c r="Y1" s="103"/>
      <c r="Z1" s="108" t="s">
        <v>96</v>
      </c>
      <c r="AA1" s="108"/>
      <c r="AB1" s="111"/>
      <c r="AC1" s="112"/>
      <c r="AD1" s="113" t="s">
        <v>97</v>
      </c>
      <c r="AE1" s="112"/>
      <c r="AF1" s="103"/>
      <c r="AG1" s="114" t="s">
        <v>98</v>
      </c>
    </row>
    <row r="2" spans="1:33" ht="12.75">
      <c r="A2" s="103" t="s">
        <v>5</v>
      </c>
      <c r="B2" s="30"/>
      <c r="C2" s="29" t="s">
        <v>28</v>
      </c>
      <c r="D2" s="31" t="s">
        <v>101</v>
      </c>
      <c r="E2" s="31" t="s">
        <v>83</v>
      </c>
      <c r="F2" s="31" t="s">
        <v>85</v>
      </c>
      <c r="G2" s="31" t="s">
        <v>84</v>
      </c>
      <c r="H2" s="31" t="s">
        <v>79</v>
      </c>
      <c r="I2" s="31" t="s">
        <v>80</v>
      </c>
      <c r="J2" s="31" t="s">
        <v>81</v>
      </c>
      <c r="K2" s="31" t="s">
        <v>82</v>
      </c>
      <c r="L2" s="31" t="s">
        <v>77</v>
      </c>
      <c r="M2" s="31" t="s">
        <v>78</v>
      </c>
      <c r="N2" s="30" t="s">
        <v>6</v>
      </c>
      <c r="O2" s="29" t="s">
        <v>7</v>
      </c>
      <c r="P2" s="31" t="s">
        <v>9</v>
      </c>
      <c r="Q2" s="31" t="s">
        <v>8</v>
      </c>
      <c r="R2" s="32" t="s">
        <v>16</v>
      </c>
      <c r="S2" s="33" t="s">
        <v>17</v>
      </c>
      <c r="T2" s="29" t="s">
        <v>10</v>
      </c>
      <c r="U2" s="31" t="s">
        <v>11</v>
      </c>
      <c r="V2" s="31" t="s">
        <v>12</v>
      </c>
      <c r="W2" s="32" t="s">
        <v>16</v>
      </c>
      <c r="X2" s="35" t="s">
        <v>17</v>
      </c>
      <c r="Y2" s="29" t="s">
        <v>13</v>
      </c>
      <c r="Z2" s="31" t="s">
        <v>14</v>
      </c>
      <c r="AA2" s="31" t="s">
        <v>15</v>
      </c>
      <c r="AB2" s="32" t="s">
        <v>16</v>
      </c>
      <c r="AC2" s="35" t="s">
        <v>17</v>
      </c>
      <c r="AD2" s="36" t="s">
        <v>70</v>
      </c>
      <c r="AE2" s="35" t="s">
        <v>71</v>
      </c>
      <c r="AF2" s="36" t="s">
        <v>73</v>
      </c>
      <c r="AG2" s="30" t="s">
        <v>72</v>
      </c>
    </row>
    <row r="3" spans="1:33" ht="3" customHeight="1">
      <c r="A3" s="104"/>
      <c r="B3" s="24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24"/>
      <c r="O3" s="8"/>
      <c r="P3" s="9"/>
      <c r="Q3" s="9"/>
      <c r="S3" s="10"/>
      <c r="T3" s="8"/>
      <c r="U3" s="9"/>
      <c r="V3" s="9"/>
      <c r="W3" s="17"/>
      <c r="X3" s="18"/>
      <c r="Y3" s="8"/>
      <c r="Z3" s="9"/>
      <c r="AA3" s="9"/>
      <c r="AB3" s="17"/>
      <c r="AC3" s="18"/>
      <c r="AD3" s="23"/>
      <c r="AE3" s="18"/>
      <c r="AF3" s="23"/>
      <c r="AG3" s="24"/>
    </row>
    <row r="4" spans="1:33" ht="12.75">
      <c r="A4" s="105" t="s">
        <v>0</v>
      </c>
      <c r="B4" s="22"/>
      <c r="C4" s="5" t="s">
        <v>29</v>
      </c>
      <c r="D4" s="6">
        <v>0</v>
      </c>
      <c r="E4" s="67">
        <f>VLOOKUP(C4,$AA$31:$AB$36,2)</f>
        <v>80</v>
      </c>
      <c r="F4" s="6">
        <v>26</v>
      </c>
      <c r="G4" s="15">
        <f>E4*F4/100</f>
        <v>20.8</v>
      </c>
      <c r="H4" s="15">
        <f>MAX(0,VLOOKUP(C4,$AA$31:$AD$36,3)*G4)</f>
        <v>0</v>
      </c>
      <c r="I4" s="15">
        <f>VLOOKUP(C4,$AA$31:$AD$36,4)*G4</f>
        <v>41.6</v>
      </c>
      <c r="J4" s="15">
        <f>MAX(0,H4-Armour)</f>
        <v>0</v>
      </c>
      <c r="K4" s="15">
        <f>MAX(0,I4-Armour)</f>
        <v>7.600000000000001</v>
      </c>
      <c r="L4" s="89">
        <f>IF(J4=0,((K4-J4)/(I4-H4)),1)</f>
        <v>0.1826923076923077</v>
      </c>
      <c r="M4" s="56">
        <f>(AVERAGE(J4,K4))*L4*IF(D4=1,TerrorAreaMult,1)</f>
        <v>0.6942307692307694</v>
      </c>
      <c r="N4" s="22">
        <v>12</v>
      </c>
      <c r="O4" s="5">
        <v>18</v>
      </c>
      <c r="P4" s="6">
        <v>60</v>
      </c>
      <c r="Q4" s="6">
        <f aca="true" t="shared" si="0" ref="Q4:Q20">MIN(N4,INT(100/O4))</f>
        <v>5</v>
      </c>
      <c r="R4" s="7">
        <f>M4*Q4*P4/100</f>
        <v>2.0826923076923083</v>
      </c>
      <c r="S4" s="16">
        <f>M4*Q4</f>
        <v>3.471153846153847</v>
      </c>
      <c r="T4" s="64">
        <v>54</v>
      </c>
      <c r="U4" s="91">
        <v>60</v>
      </c>
      <c r="V4" s="91">
        <f>MIN(N4,INT(100/T4)*3)</f>
        <v>3</v>
      </c>
      <c r="W4" s="92">
        <f>M4*V4*U4/100</f>
        <v>1.249615384615385</v>
      </c>
      <c r="X4" s="93">
        <f>M4*V4</f>
        <v>2.0826923076923083</v>
      </c>
      <c r="Y4" s="87">
        <v>30</v>
      </c>
      <c r="Z4" s="67">
        <v>78</v>
      </c>
      <c r="AA4" s="67">
        <f aca="true" t="shared" si="1" ref="AA4:AA11">MIN(N4,INT(100/Y4))</f>
        <v>3</v>
      </c>
      <c r="AB4" s="80">
        <f>M4*AA4*Z4/100</f>
        <v>1.6245000000000005</v>
      </c>
      <c r="AC4" s="96">
        <f>M4*AA4</f>
        <v>2.0826923076923083</v>
      </c>
      <c r="AD4" s="21">
        <f aca="true" t="shared" si="2" ref="AD4:AD20">MAX(R4,W4,AB4)</f>
        <v>2.0826923076923083</v>
      </c>
      <c r="AE4" s="16">
        <f>MAX(Q4,V4,AA4)*M4</f>
        <v>3.471153846153847</v>
      </c>
      <c r="AF4" s="21">
        <f>RANK(AD4,$AD$4:$AD$23)</f>
        <v>17</v>
      </c>
      <c r="AG4" s="16">
        <f>RANK(AE4,$AE$4:$AE$23)</f>
        <v>20</v>
      </c>
    </row>
    <row r="5" spans="1:33" ht="12.75">
      <c r="A5" s="106" t="s">
        <v>1</v>
      </c>
      <c r="B5" s="24"/>
      <c r="C5" s="8" t="s">
        <v>29</v>
      </c>
      <c r="D5" s="9">
        <v>0</v>
      </c>
      <c r="E5" s="68">
        <f aca="true" t="shared" si="3" ref="E5:E23">VLOOKUP(C5,$AA$31:$AB$36,2)</f>
        <v>80</v>
      </c>
      <c r="F5" s="9">
        <v>30</v>
      </c>
      <c r="G5" s="17">
        <f aca="true" t="shared" si="4" ref="G5:G23">E5*F5/100</f>
        <v>24</v>
      </c>
      <c r="H5" s="17">
        <f aca="true" t="shared" si="5" ref="H5:H23">MAX(0,VLOOKUP(C5,$AA$31:$AD$36,3)*G5)</f>
        <v>0</v>
      </c>
      <c r="I5" s="17">
        <f>VLOOKUP(C5,$AA$31:$AD$36,4)*G5</f>
        <v>48</v>
      </c>
      <c r="J5" s="17">
        <f>MAX(0,H5-Armour)</f>
        <v>0</v>
      </c>
      <c r="K5" s="17">
        <f>MAX(0,I5-Armour)</f>
        <v>14</v>
      </c>
      <c r="L5" s="82">
        <f aca="true" t="shared" si="6" ref="L5:L23">IF(J5=0,((K5-J5)/(I5-H5)),1)</f>
        <v>0.2916666666666667</v>
      </c>
      <c r="M5" s="57">
        <f>(AVERAGE(J5,K5))*L5*IF(D5=1,TerrorAreaMult,1)</f>
        <v>2.041666666666667</v>
      </c>
      <c r="N5" s="24">
        <v>20</v>
      </c>
      <c r="O5" s="8">
        <v>25</v>
      </c>
      <c r="P5" s="9">
        <v>60</v>
      </c>
      <c r="Q5" s="9">
        <f t="shared" si="0"/>
        <v>4</v>
      </c>
      <c r="R5" s="2">
        <f>M5*Q5*P5/100</f>
        <v>4.9</v>
      </c>
      <c r="S5" s="18">
        <f>M5*Q5</f>
        <v>8.166666666666668</v>
      </c>
      <c r="T5" s="8">
        <v>35</v>
      </c>
      <c r="U5" s="9">
        <v>35</v>
      </c>
      <c r="V5" s="9">
        <f>MIN(N5,INT(100/T5)*3)</f>
        <v>6</v>
      </c>
      <c r="W5" s="17">
        <f>M5*V5*U5/100</f>
        <v>4.2875000000000005</v>
      </c>
      <c r="X5" s="18">
        <f>M5*V5</f>
        <v>12.250000000000002</v>
      </c>
      <c r="Y5" s="8">
        <v>80</v>
      </c>
      <c r="Z5" s="9">
        <v>110</v>
      </c>
      <c r="AA5" s="9">
        <f t="shared" si="1"/>
        <v>1</v>
      </c>
      <c r="AB5" s="17">
        <f>M5*AA5*Z5/100</f>
        <v>2.2458333333333336</v>
      </c>
      <c r="AC5" s="18">
        <f>M5*AA5</f>
        <v>2.041666666666667</v>
      </c>
      <c r="AD5" s="23">
        <f t="shared" si="2"/>
        <v>4.9</v>
      </c>
      <c r="AE5" s="18">
        <f aca="true" t="shared" si="7" ref="AE5:AE23">MAX(Q5,V5,AA5)*M5</f>
        <v>12.250000000000002</v>
      </c>
      <c r="AF5" s="23">
        <f aca="true" t="shared" si="8" ref="AF5:AF20">RANK(AD5,$AD$4:$AD$23)</f>
        <v>15</v>
      </c>
      <c r="AG5" s="18">
        <f aca="true" t="shared" si="9" ref="AG5:AG23">RANK(AE5,$AE$4:$AE$23)</f>
        <v>17</v>
      </c>
    </row>
    <row r="6" spans="1:33" ht="12.75">
      <c r="A6" s="106" t="s">
        <v>2</v>
      </c>
      <c r="B6" s="24"/>
      <c r="C6" s="8" t="s">
        <v>29</v>
      </c>
      <c r="D6" s="9">
        <v>0</v>
      </c>
      <c r="E6" s="68">
        <f t="shared" si="3"/>
        <v>80</v>
      </c>
      <c r="F6" s="9">
        <v>56</v>
      </c>
      <c r="G6" s="17">
        <f t="shared" si="4"/>
        <v>44.8</v>
      </c>
      <c r="H6" s="17">
        <f t="shared" si="5"/>
        <v>0</v>
      </c>
      <c r="I6" s="17">
        <f aca="true" t="shared" si="10" ref="I5:I23">VLOOKUP(C6,$AA$31:$AD$36,4)*G6</f>
        <v>89.6</v>
      </c>
      <c r="J6" s="17">
        <f>MAX(0,H6-Armour)</f>
        <v>0</v>
      </c>
      <c r="K6" s="17">
        <f>MAX(0,I6-Armour)</f>
        <v>55.599999999999994</v>
      </c>
      <c r="L6" s="82">
        <f t="shared" si="6"/>
        <v>0.6205357142857143</v>
      </c>
      <c r="M6" s="57">
        <f>(AVERAGE(J6,K6))*L6*IF(D6=1,TerrorAreaMult,1)</f>
        <v>17.250892857142855</v>
      </c>
      <c r="N6" s="24">
        <v>6</v>
      </c>
      <c r="O6" s="8">
        <v>33</v>
      </c>
      <c r="P6" s="9">
        <v>60</v>
      </c>
      <c r="Q6" s="9">
        <f t="shared" si="0"/>
        <v>3</v>
      </c>
      <c r="R6" s="2">
        <f>M6*Q6*P6/100</f>
        <v>31.051607142857137</v>
      </c>
      <c r="S6" s="18">
        <f>M6*Q6</f>
        <v>51.75267857142856</v>
      </c>
      <c r="T6" s="8"/>
      <c r="U6" s="9">
        <v>0</v>
      </c>
      <c r="V6" s="9"/>
      <c r="W6" s="17"/>
      <c r="X6" s="18"/>
      <c r="Y6" s="8">
        <v>80</v>
      </c>
      <c r="Z6" s="9">
        <v>90</v>
      </c>
      <c r="AA6" s="9">
        <f t="shared" si="1"/>
        <v>1</v>
      </c>
      <c r="AB6" s="17">
        <f>M6*AA6*Z6/100</f>
        <v>15.525803571428568</v>
      </c>
      <c r="AC6" s="18">
        <f>M6*AA6</f>
        <v>17.250892857142855</v>
      </c>
      <c r="AD6" s="23">
        <f t="shared" si="2"/>
        <v>31.051607142857137</v>
      </c>
      <c r="AE6" s="18">
        <f t="shared" si="7"/>
        <v>51.75267857142856</v>
      </c>
      <c r="AF6" s="23">
        <f t="shared" si="8"/>
        <v>12</v>
      </c>
      <c r="AG6" s="18">
        <f t="shared" si="9"/>
        <v>12</v>
      </c>
    </row>
    <row r="7" spans="1:33" ht="12.75">
      <c r="A7" s="106" t="s">
        <v>3</v>
      </c>
      <c r="B7" s="24"/>
      <c r="C7" s="85" t="s">
        <v>30</v>
      </c>
      <c r="D7" s="116">
        <v>1</v>
      </c>
      <c r="E7" s="68">
        <f t="shared" si="3"/>
        <v>60</v>
      </c>
      <c r="F7" s="9">
        <v>52</v>
      </c>
      <c r="G7" s="17">
        <f t="shared" si="4"/>
        <v>31.2</v>
      </c>
      <c r="H7" s="17">
        <f t="shared" si="5"/>
        <v>15.6</v>
      </c>
      <c r="I7" s="17">
        <f t="shared" si="10"/>
        <v>46.8</v>
      </c>
      <c r="J7" s="17">
        <f>MAX(0,H7-Armour)</f>
        <v>0</v>
      </c>
      <c r="K7" s="17">
        <f>MAX(0,I7-Armour)</f>
        <v>12.799999999999997</v>
      </c>
      <c r="L7" s="88">
        <f t="shared" si="6"/>
        <v>0.41025641025641024</v>
      </c>
      <c r="M7" s="57">
        <f>(AVERAGE(J7,K7))*L7*IF(D7=1,TerrorAreaMult,1)</f>
        <v>6.564102564102562</v>
      </c>
      <c r="N7" s="24">
        <v>6</v>
      </c>
      <c r="O7" s="8">
        <v>33</v>
      </c>
      <c r="P7" s="9">
        <v>60</v>
      </c>
      <c r="Q7" s="9">
        <f t="shared" si="0"/>
        <v>3</v>
      </c>
      <c r="R7" s="2">
        <f>M7*Q7*P7/100</f>
        <v>11.815384615384612</v>
      </c>
      <c r="S7" s="18">
        <f>M7*Q7</f>
        <v>19.692307692307686</v>
      </c>
      <c r="T7" s="8"/>
      <c r="U7" s="9">
        <v>0</v>
      </c>
      <c r="V7" s="9"/>
      <c r="W7" s="17"/>
      <c r="X7" s="18"/>
      <c r="Y7" s="8">
        <v>80</v>
      </c>
      <c r="Z7" s="9">
        <v>90</v>
      </c>
      <c r="AA7" s="9">
        <f t="shared" si="1"/>
        <v>1</v>
      </c>
      <c r="AB7" s="17">
        <f>M7*AA7*Z7/100</f>
        <v>5.907692307692306</v>
      </c>
      <c r="AC7" s="18">
        <f>M7*AA7</f>
        <v>6.564102564102562</v>
      </c>
      <c r="AD7" s="23">
        <f t="shared" si="2"/>
        <v>11.815384615384612</v>
      </c>
      <c r="AE7" s="18">
        <f t="shared" si="7"/>
        <v>19.692307692307686</v>
      </c>
      <c r="AF7" s="23">
        <f t="shared" si="8"/>
        <v>14</v>
      </c>
      <c r="AG7" s="18">
        <f t="shared" si="9"/>
        <v>16</v>
      </c>
    </row>
    <row r="8" spans="1:33" ht="12.75">
      <c r="A8" s="106" t="s">
        <v>4</v>
      </c>
      <c r="B8" s="24"/>
      <c r="C8" s="8" t="s">
        <v>29</v>
      </c>
      <c r="D8" s="116">
        <v>0</v>
      </c>
      <c r="E8" s="68">
        <f t="shared" si="3"/>
        <v>80</v>
      </c>
      <c r="F8" s="9">
        <v>42</v>
      </c>
      <c r="G8" s="17">
        <f t="shared" si="4"/>
        <v>33.6</v>
      </c>
      <c r="H8" s="17">
        <f t="shared" si="5"/>
        <v>0</v>
      </c>
      <c r="I8" s="17">
        <f t="shared" si="10"/>
        <v>67.2</v>
      </c>
      <c r="J8" s="17">
        <f>MAX(0,H8-Armour)</f>
        <v>0</v>
      </c>
      <c r="K8" s="17">
        <f>MAX(0,I8-Armour)</f>
        <v>33.2</v>
      </c>
      <c r="L8" s="82">
        <f t="shared" si="6"/>
        <v>0.49404761904761907</v>
      </c>
      <c r="M8" s="57">
        <f>(AVERAGE(J8,K8))*L8*IF(D8=1,TerrorAreaMult,1)</f>
        <v>8.201190476190478</v>
      </c>
      <c r="N8" s="24">
        <v>14</v>
      </c>
      <c r="O8" s="8">
        <v>33</v>
      </c>
      <c r="P8" s="9">
        <v>56</v>
      </c>
      <c r="Q8" s="9">
        <f t="shared" si="0"/>
        <v>3</v>
      </c>
      <c r="R8" s="2">
        <f>M8*Q8*P8/100</f>
        <v>13.778000000000004</v>
      </c>
      <c r="S8" s="18">
        <f>M8*Q8</f>
        <v>24.603571428571435</v>
      </c>
      <c r="T8" s="8">
        <v>40</v>
      </c>
      <c r="U8" s="9">
        <v>32</v>
      </c>
      <c r="V8" s="9">
        <f>MIN(N8,INT(100/T8)*3)</f>
        <v>6</v>
      </c>
      <c r="W8" s="17">
        <f>M8*V8*U8/100</f>
        <v>15.746285714285719</v>
      </c>
      <c r="X8" s="18">
        <f>M8*V8</f>
        <v>49.20714285714287</v>
      </c>
      <c r="Y8" s="8">
        <v>80</v>
      </c>
      <c r="Z8" s="9">
        <v>82</v>
      </c>
      <c r="AA8" s="9">
        <f t="shared" si="1"/>
        <v>1</v>
      </c>
      <c r="AB8" s="17">
        <f>M8*AA8*Z8/100</f>
        <v>6.724976190476192</v>
      </c>
      <c r="AC8" s="18">
        <f>M8*AA8</f>
        <v>8.201190476190478</v>
      </c>
      <c r="AD8" s="23">
        <f t="shared" si="2"/>
        <v>15.746285714285719</v>
      </c>
      <c r="AE8" s="18">
        <f t="shared" si="7"/>
        <v>49.20714285714287</v>
      </c>
      <c r="AF8" s="23">
        <f t="shared" si="8"/>
        <v>13</v>
      </c>
      <c r="AG8" s="18">
        <f t="shared" si="9"/>
        <v>14</v>
      </c>
    </row>
    <row r="9" spans="1:33" ht="12.75">
      <c r="A9" s="106" t="s">
        <v>22</v>
      </c>
      <c r="B9" s="24"/>
      <c r="C9" s="85" t="s">
        <v>30</v>
      </c>
      <c r="D9" s="116">
        <v>1</v>
      </c>
      <c r="E9" s="68">
        <f t="shared" si="3"/>
        <v>60</v>
      </c>
      <c r="F9" s="9">
        <v>44</v>
      </c>
      <c r="G9" s="17">
        <f t="shared" si="4"/>
        <v>26.4</v>
      </c>
      <c r="H9" s="17">
        <f t="shared" si="5"/>
        <v>13.2</v>
      </c>
      <c r="I9" s="17">
        <f t="shared" si="10"/>
        <v>39.599999999999994</v>
      </c>
      <c r="J9" s="17">
        <f>MAX(0,H9-Armour)</f>
        <v>0</v>
      </c>
      <c r="K9" s="17">
        <f>MAX(0,I9-Armour)</f>
        <v>5.599999999999994</v>
      </c>
      <c r="L9" s="82">
        <f t="shared" si="6"/>
        <v>0.21212121212121193</v>
      </c>
      <c r="M9" s="57">
        <f>(AVERAGE(J9,K9))*L9*IF(D9=1,TerrorAreaMult,1)</f>
        <v>1.484848484848482</v>
      </c>
      <c r="N9" s="24">
        <v>14</v>
      </c>
      <c r="O9" s="8">
        <v>33</v>
      </c>
      <c r="P9" s="9">
        <v>56</v>
      </c>
      <c r="Q9" s="9">
        <f t="shared" si="0"/>
        <v>3</v>
      </c>
      <c r="R9" s="2">
        <f>M9*Q9*P9/100</f>
        <v>2.4945454545454497</v>
      </c>
      <c r="S9" s="18">
        <f>M9*Q9</f>
        <v>4.454545454545446</v>
      </c>
      <c r="T9" s="8">
        <v>40</v>
      </c>
      <c r="U9" s="9">
        <v>32</v>
      </c>
      <c r="V9" s="9">
        <f>MIN(N9,INT(100/T9)*3)</f>
        <v>6</v>
      </c>
      <c r="W9" s="17">
        <f>M9*V9*U9/100</f>
        <v>2.8509090909090857</v>
      </c>
      <c r="X9" s="18">
        <f>M9*V9</f>
        <v>8.909090909090892</v>
      </c>
      <c r="Y9" s="8">
        <v>80</v>
      </c>
      <c r="Z9" s="9">
        <v>82</v>
      </c>
      <c r="AA9" s="9">
        <f t="shared" si="1"/>
        <v>1</v>
      </c>
      <c r="AB9" s="17">
        <f>M9*AA9*Z9/100</f>
        <v>1.2175757575757553</v>
      </c>
      <c r="AC9" s="18">
        <f>M9*AA9</f>
        <v>1.484848484848482</v>
      </c>
      <c r="AD9" s="23">
        <f t="shared" si="2"/>
        <v>2.8509090909090857</v>
      </c>
      <c r="AE9" s="18">
        <f t="shared" si="7"/>
        <v>8.909090909090892</v>
      </c>
      <c r="AF9" s="23">
        <f t="shared" si="8"/>
        <v>16</v>
      </c>
      <c r="AG9" s="18">
        <f t="shared" si="9"/>
        <v>18</v>
      </c>
    </row>
    <row r="10" spans="1:33" ht="12.75">
      <c r="A10" s="106" t="s">
        <v>36</v>
      </c>
      <c r="B10" s="24"/>
      <c r="C10" s="85" t="s">
        <v>30</v>
      </c>
      <c r="D10" s="116">
        <v>1</v>
      </c>
      <c r="E10" s="68">
        <f t="shared" si="3"/>
        <v>60</v>
      </c>
      <c r="F10" s="9">
        <v>75</v>
      </c>
      <c r="G10" s="17">
        <f t="shared" si="4"/>
        <v>45</v>
      </c>
      <c r="H10" s="17">
        <f t="shared" si="5"/>
        <v>22.5</v>
      </c>
      <c r="I10" s="17">
        <f t="shared" si="10"/>
        <v>67.5</v>
      </c>
      <c r="J10" s="17">
        <f>MAX(0,H10-Armour)</f>
        <v>0</v>
      </c>
      <c r="K10" s="17">
        <f>MAX(0,I10-Armour)</f>
        <v>33.5</v>
      </c>
      <c r="L10" s="82">
        <f t="shared" si="6"/>
        <v>0.7444444444444445</v>
      </c>
      <c r="M10" s="57">
        <f>(AVERAGE(J10,K10))*L10*IF(D10=1,TerrorAreaMult,1)</f>
        <v>31.173611111111114</v>
      </c>
      <c r="N10" s="24">
        <v>1</v>
      </c>
      <c r="O10" s="8">
        <v>45</v>
      </c>
      <c r="P10" s="9">
        <v>55</v>
      </c>
      <c r="Q10" s="9">
        <f t="shared" si="0"/>
        <v>1</v>
      </c>
      <c r="R10" s="2">
        <f>M10*Q10*P10/100</f>
        <v>17.14548611111111</v>
      </c>
      <c r="S10" s="18">
        <f>M10*Q10</f>
        <v>31.173611111111114</v>
      </c>
      <c r="T10" s="8"/>
      <c r="U10" s="9">
        <v>0</v>
      </c>
      <c r="V10" s="9"/>
      <c r="W10" s="17"/>
      <c r="X10" s="18"/>
      <c r="Y10" s="8">
        <v>75</v>
      </c>
      <c r="Z10" s="9">
        <v>115</v>
      </c>
      <c r="AA10" s="9">
        <f t="shared" si="1"/>
        <v>1</v>
      </c>
      <c r="AB10" s="17">
        <f>M10*AA10*Z10/100</f>
        <v>35.849652777777784</v>
      </c>
      <c r="AC10" s="18">
        <f>M10*AA10</f>
        <v>31.173611111111114</v>
      </c>
      <c r="AD10" s="23">
        <f t="shared" si="2"/>
        <v>35.849652777777784</v>
      </c>
      <c r="AE10" s="18">
        <f t="shared" si="7"/>
        <v>31.173611111111114</v>
      </c>
      <c r="AF10" s="23">
        <f t="shared" si="8"/>
        <v>11</v>
      </c>
      <c r="AG10" s="18">
        <f t="shared" si="9"/>
        <v>15</v>
      </c>
    </row>
    <row r="11" spans="1:33" ht="12.75">
      <c r="A11" s="107" t="s">
        <v>37</v>
      </c>
      <c r="B11" s="28"/>
      <c r="C11" s="86" t="s">
        <v>30</v>
      </c>
      <c r="D11" s="69">
        <v>1</v>
      </c>
      <c r="E11" s="69">
        <f t="shared" si="3"/>
        <v>60</v>
      </c>
      <c r="F11" s="13">
        <v>100</v>
      </c>
      <c r="G11" s="19">
        <f t="shared" si="4"/>
        <v>60</v>
      </c>
      <c r="H11" s="19">
        <f t="shared" si="5"/>
        <v>30</v>
      </c>
      <c r="I11" s="19">
        <f t="shared" si="10"/>
        <v>90</v>
      </c>
      <c r="J11" s="19">
        <f>MAX(0,H11-Armour)</f>
        <v>0</v>
      </c>
      <c r="K11" s="19">
        <f>MAX(0,I11-Armour)</f>
        <v>56</v>
      </c>
      <c r="L11" s="83">
        <f t="shared" si="6"/>
        <v>0.9333333333333333</v>
      </c>
      <c r="M11" s="58">
        <f>(AVERAGE(J11,K11))*L11*IF(D11=1,TerrorAreaMult,1)</f>
        <v>65.33333333333333</v>
      </c>
      <c r="N11" s="28">
        <v>1</v>
      </c>
      <c r="O11" s="12">
        <v>45</v>
      </c>
      <c r="P11" s="13">
        <v>55</v>
      </c>
      <c r="Q11" s="13">
        <f t="shared" si="0"/>
        <v>1</v>
      </c>
      <c r="R11" s="14">
        <f>M11*Q11*P11/100</f>
        <v>35.93333333333333</v>
      </c>
      <c r="S11" s="20">
        <f>M11*Q11</f>
        <v>65.33333333333333</v>
      </c>
      <c r="T11" s="12"/>
      <c r="U11" s="13">
        <v>0</v>
      </c>
      <c r="V11" s="13"/>
      <c r="W11" s="19"/>
      <c r="X11" s="20"/>
      <c r="Y11" s="12">
        <v>75</v>
      </c>
      <c r="Z11" s="13">
        <v>115</v>
      </c>
      <c r="AA11" s="13">
        <f t="shared" si="1"/>
        <v>1</v>
      </c>
      <c r="AB11" s="19">
        <f>M11*AA11*Z11/100</f>
        <v>75.13333333333333</v>
      </c>
      <c r="AC11" s="20">
        <f>M11*AA11</f>
        <v>65.33333333333333</v>
      </c>
      <c r="AD11" s="27">
        <f t="shared" si="2"/>
        <v>75.13333333333333</v>
      </c>
      <c r="AE11" s="20">
        <f t="shared" si="7"/>
        <v>65.33333333333333</v>
      </c>
      <c r="AF11" s="27">
        <f t="shared" si="8"/>
        <v>9</v>
      </c>
      <c r="AG11" s="20">
        <f t="shared" si="9"/>
        <v>11</v>
      </c>
    </row>
    <row r="12" spans="1:33" ht="12.75">
      <c r="A12" s="103" t="s">
        <v>25</v>
      </c>
      <c r="B12" s="30"/>
      <c r="C12" s="29" t="s">
        <v>44</v>
      </c>
      <c r="D12" s="31">
        <v>0</v>
      </c>
      <c r="E12" s="70">
        <f t="shared" si="3"/>
        <v>100</v>
      </c>
      <c r="F12" s="31">
        <v>65</v>
      </c>
      <c r="G12" s="34">
        <f t="shared" si="4"/>
        <v>65</v>
      </c>
      <c r="H12" s="34">
        <f t="shared" si="5"/>
        <v>0</v>
      </c>
      <c r="I12" s="34">
        <f t="shared" si="10"/>
        <v>130</v>
      </c>
      <c r="J12" s="34">
        <f>MAX(0,H12-Armour)</f>
        <v>0</v>
      </c>
      <c r="K12" s="34">
        <f>MAX(0,I12-Armour)</f>
        <v>96</v>
      </c>
      <c r="L12" s="84">
        <f t="shared" si="6"/>
        <v>0.7384615384615385</v>
      </c>
      <c r="M12" s="59">
        <f>(AVERAGE(J12,K12))*L12*IF(D12=1,TerrorAreaMult,1)</f>
        <v>35.44615384615385</v>
      </c>
      <c r="N12" s="30">
        <v>999</v>
      </c>
      <c r="O12" s="29">
        <v>30</v>
      </c>
      <c r="P12" s="31">
        <v>100</v>
      </c>
      <c r="Q12" s="13">
        <f t="shared" si="0"/>
        <v>3</v>
      </c>
      <c r="R12" s="32">
        <f>M12*Q12*P12/100</f>
        <v>106.33846153846154</v>
      </c>
      <c r="S12" s="35">
        <f>M12*Q12</f>
        <v>106.33846153846154</v>
      </c>
      <c r="T12" s="29"/>
      <c r="U12" s="31">
        <v>0</v>
      </c>
      <c r="V12" s="31"/>
      <c r="W12" s="34"/>
      <c r="X12" s="35"/>
      <c r="Y12" s="29"/>
      <c r="Z12" s="31">
        <v>0</v>
      </c>
      <c r="AA12" s="31"/>
      <c r="AB12" s="34"/>
      <c r="AC12" s="35"/>
      <c r="AD12" s="36">
        <f t="shared" si="2"/>
        <v>106.33846153846154</v>
      </c>
      <c r="AE12" s="35">
        <f t="shared" si="7"/>
        <v>106.33846153846154</v>
      </c>
      <c r="AF12" s="36">
        <f t="shared" si="8"/>
        <v>5</v>
      </c>
      <c r="AG12" s="35">
        <f t="shared" si="9"/>
        <v>9</v>
      </c>
    </row>
    <row r="13" spans="1:33" ht="12.75">
      <c r="A13" s="105" t="s">
        <v>20</v>
      </c>
      <c r="B13" s="22"/>
      <c r="C13" s="5" t="s">
        <v>42</v>
      </c>
      <c r="D13" s="6">
        <v>0</v>
      </c>
      <c r="E13" s="67">
        <f t="shared" si="3"/>
        <v>100</v>
      </c>
      <c r="F13" s="6">
        <v>46</v>
      </c>
      <c r="G13" s="15">
        <f t="shared" si="4"/>
        <v>46</v>
      </c>
      <c r="H13" s="15">
        <f t="shared" si="5"/>
        <v>0</v>
      </c>
      <c r="I13" s="15">
        <f t="shared" si="10"/>
        <v>92</v>
      </c>
      <c r="J13" s="15">
        <f>MAX(0,H13-Armour)</f>
        <v>0</v>
      </c>
      <c r="K13" s="15">
        <f>MAX(0,I13-Armour)</f>
        <v>58</v>
      </c>
      <c r="L13" s="81">
        <f t="shared" si="6"/>
        <v>0.6304347826086957</v>
      </c>
      <c r="M13" s="56">
        <f>(AVERAGE(J13,K13))*L13*IF(D13=1,TerrorAreaMult,1)</f>
        <v>18.282608695652176</v>
      </c>
      <c r="N13" s="22">
        <v>999</v>
      </c>
      <c r="O13" s="5">
        <v>20</v>
      </c>
      <c r="P13" s="6">
        <v>40</v>
      </c>
      <c r="Q13" s="6">
        <f t="shared" si="0"/>
        <v>5</v>
      </c>
      <c r="R13" s="7">
        <f>M13*Q13*P13/100</f>
        <v>36.56521739130435</v>
      </c>
      <c r="S13" s="16">
        <f>M13*Q13</f>
        <v>91.41304347826087</v>
      </c>
      <c r="T13" s="5">
        <v>25</v>
      </c>
      <c r="U13" s="6">
        <v>28</v>
      </c>
      <c r="V13" s="6">
        <f aca="true" t="shared" si="11" ref="V13:V18">MIN(N13,INT(100/T13)*3)</f>
        <v>12</v>
      </c>
      <c r="W13" s="15">
        <f>M13*V13*U13/100</f>
        <v>61.42956521739132</v>
      </c>
      <c r="X13" s="16">
        <f>M13*V13</f>
        <v>219.39130434782612</v>
      </c>
      <c r="Y13" s="5">
        <v>55</v>
      </c>
      <c r="Z13" s="6">
        <v>68</v>
      </c>
      <c r="AA13" s="6">
        <f aca="true" t="shared" si="12" ref="AA13:AA20">MIN(N13,INT(100/Y13))</f>
        <v>1</v>
      </c>
      <c r="AB13" s="15">
        <f>M13*AA13*Z13/100</f>
        <v>12.43217391304348</v>
      </c>
      <c r="AC13" s="16">
        <f>M13*AA13</f>
        <v>18.282608695652176</v>
      </c>
      <c r="AD13" s="21">
        <f t="shared" si="2"/>
        <v>61.42956521739132</v>
      </c>
      <c r="AE13" s="16">
        <f t="shared" si="7"/>
        <v>219.39130434782612</v>
      </c>
      <c r="AF13" s="21">
        <f t="shared" si="8"/>
        <v>10</v>
      </c>
      <c r="AG13" s="16">
        <f t="shared" si="9"/>
        <v>4</v>
      </c>
    </row>
    <row r="14" spans="1:33" ht="12.75">
      <c r="A14" s="106" t="s">
        <v>21</v>
      </c>
      <c r="B14" s="24"/>
      <c r="C14" s="8" t="s">
        <v>42</v>
      </c>
      <c r="D14" s="117">
        <v>0</v>
      </c>
      <c r="E14" s="68">
        <f t="shared" si="3"/>
        <v>100</v>
      </c>
      <c r="F14" s="9">
        <v>60</v>
      </c>
      <c r="G14" s="17">
        <f t="shared" si="4"/>
        <v>60</v>
      </c>
      <c r="H14" s="17">
        <f t="shared" si="5"/>
        <v>0</v>
      </c>
      <c r="I14" s="17">
        <f t="shared" si="10"/>
        <v>120</v>
      </c>
      <c r="J14" s="17">
        <f>MAX(0,H14-Armour)</f>
        <v>0</v>
      </c>
      <c r="K14" s="17">
        <f>MAX(0,I14-Armour)</f>
        <v>86</v>
      </c>
      <c r="L14" s="82">
        <f t="shared" si="6"/>
        <v>0.7166666666666667</v>
      </c>
      <c r="M14" s="57">
        <f>(AVERAGE(J14,K14))*L14*IF(D14=1,TerrorAreaMult,1)</f>
        <v>30.816666666666666</v>
      </c>
      <c r="N14" s="24">
        <v>999</v>
      </c>
      <c r="O14" s="8">
        <v>25</v>
      </c>
      <c r="P14" s="9">
        <v>65</v>
      </c>
      <c r="Q14" s="9">
        <f t="shared" si="0"/>
        <v>4</v>
      </c>
      <c r="R14" s="2">
        <f>M14*Q14*P14/100</f>
        <v>80.12333333333333</v>
      </c>
      <c r="S14" s="18">
        <f>M14*Q14</f>
        <v>123.26666666666667</v>
      </c>
      <c r="T14" s="8">
        <v>34</v>
      </c>
      <c r="U14" s="9">
        <v>46</v>
      </c>
      <c r="V14" s="9">
        <f t="shared" si="11"/>
        <v>6</v>
      </c>
      <c r="W14" s="17">
        <f>M14*V14*U14/100</f>
        <v>85.054</v>
      </c>
      <c r="X14" s="18">
        <f>M14*V14</f>
        <v>184.9</v>
      </c>
      <c r="Y14" s="8">
        <v>50</v>
      </c>
      <c r="Z14" s="9">
        <v>100</v>
      </c>
      <c r="AA14" s="9">
        <f t="shared" si="12"/>
        <v>2</v>
      </c>
      <c r="AB14" s="17">
        <f>M14*AA14*Z14/100</f>
        <v>61.63333333333333</v>
      </c>
      <c r="AC14" s="18">
        <f>M14*AA14</f>
        <v>61.63333333333333</v>
      </c>
      <c r="AD14" s="23">
        <f t="shared" si="2"/>
        <v>85.054</v>
      </c>
      <c r="AE14" s="18">
        <f t="shared" si="7"/>
        <v>184.9</v>
      </c>
      <c r="AF14" s="23">
        <f t="shared" si="8"/>
        <v>7</v>
      </c>
      <c r="AG14" s="18">
        <f t="shared" si="9"/>
        <v>7</v>
      </c>
    </row>
    <row r="15" spans="1:33" ht="12.75">
      <c r="A15" s="107" t="s">
        <v>27</v>
      </c>
      <c r="B15" s="28"/>
      <c r="C15" s="12" t="s">
        <v>42</v>
      </c>
      <c r="D15" s="13">
        <v>0</v>
      </c>
      <c r="E15" s="69">
        <f t="shared" si="3"/>
        <v>100</v>
      </c>
      <c r="F15" s="13">
        <v>85</v>
      </c>
      <c r="G15" s="19">
        <f t="shared" si="4"/>
        <v>85</v>
      </c>
      <c r="H15" s="19">
        <f t="shared" si="5"/>
        <v>0</v>
      </c>
      <c r="I15" s="19">
        <f t="shared" si="10"/>
        <v>170</v>
      </c>
      <c r="J15" s="19">
        <f>MAX(0,H15-Armour)</f>
        <v>0</v>
      </c>
      <c r="K15" s="19">
        <f>MAX(0,I15-Armour)</f>
        <v>136</v>
      </c>
      <c r="L15" s="83">
        <f t="shared" si="6"/>
        <v>0.8</v>
      </c>
      <c r="M15" s="58">
        <f>(AVERAGE(J15,K15))*L15*IF(D15=1,TerrorAreaMult,1)</f>
        <v>54.400000000000006</v>
      </c>
      <c r="N15" s="28">
        <v>999</v>
      </c>
      <c r="O15" s="12">
        <v>33</v>
      </c>
      <c r="P15" s="13">
        <v>50</v>
      </c>
      <c r="Q15" s="13">
        <f t="shared" si="0"/>
        <v>3</v>
      </c>
      <c r="R15" s="14">
        <f>M15*Q15*P15/100</f>
        <v>81.60000000000001</v>
      </c>
      <c r="S15" s="20">
        <f>M15*Q15</f>
        <v>163.20000000000002</v>
      </c>
      <c r="T15" s="63">
        <v>35</v>
      </c>
      <c r="U15" s="73">
        <v>25</v>
      </c>
      <c r="V15" s="65">
        <f t="shared" si="11"/>
        <v>6</v>
      </c>
      <c r="W15" s="94">
        <f>M15*V15*U15/100</f>
        <v>81.60000000000001</v>
      </c>
      <c r="X15" s="95">
        <f>M15*V15</f>
        <v>326.40000000000003</v>
      </c>
      <c r="Y15" s="12">
        <v>75</v>
      </c>
      <c r="Z15" s="13">
        <v>84</v>
      </c>
      <c r="AA15" s="13">
        <f t="shared" si="12"/>
        <v>1</v>
      </c>
      <c r="AB15" s="19">
        <f>M15*AA15*Z15/100</f>
        <v>45.696000000000005</v>
      </c>
      <c r="AC15" s="20">
        <f>M15*AA15</f>
        <v>54.400000000000006</v>
      </c>
      <c r="AD15" s="27">
        <f t="shared" si="2"/>
        <v>81.60000000000001</v>
      </c>
      <c r="AE15" s="20">
        <f t="shared" si="7"/>
        <v>326.40000000000003</v>
      </c>
      <c r="AF15" s="27">
        <f t="shared" si="8"/>
        <v>8</v>
      </c>
      <c r="AG15" s="20">
        <f t="shared" si="9"/>
        <v>2</v>
      </c>
    </row>
    <row r="16" spans="1:33" ht="12.75">
      <c r="A16" s="105" t="s">
        <v>18</v>
      </c>
      <c r="B16" s="22"/>
      <c r="C16" s="5" t="s">
        <v>45</v>
      </c>
      <c r="D16" s="6">
        <v>0</v>
      </c>
      <c r="E16" s="67">
        <f t="shared" si="3"/>
        <v>100</v>
      </c>
      <c r="F16" s="6">
        <v>52</v>
      </c>
      <c r="G16" s="15">
        <f t="shared" si="4"/>
        <v>52</v>
      </c>
      <c r="H16" s="15">
        <f t="shared" si="5"/>
        <v>0</v>
      </c>
      <c r="I16" s="15">
        <f t="shared" si="10"/>
        <v>104</v>
      </c>
      <c r="J16" s="15">
        <f>MAX(0,H16-Armour)</f>
        <v>0</v>
      </c>
      <c r="K16" s="15">
        <f>MAX(0,I16-Armour)</f>
        <v>70</v>
      </c>
      <c r="L16" s="81">
        <f t="shared" si="6"/>
        <v>0.6730769230769231</v>
      </c>
      <c r="M16" s="56">
        <f>(AVERAGE(J16,K16))*L16*IF(D16=1,TerrorAreaMult,1)</f>
        <v>23.55769230769231</v>
      </c>
      <c r="N16" s="22">
        <v>26</v>
      </c>
      <c r="O16" s="5">
        <v>30</v>
      </c>
      <c r="P16" s="6">
        <v>65</v>
      </c>
      <c r="Q16" s="6">
        <f t="shared" si="0"/>
        <v>3</v>
      </c>
      <c r="R16" s="7">
        <f>M16*Q16*P16/100</f>
        <v>45.93750000000001</v>
      </c>
      <c r="S16" s="16">
        <f>M16*Q16</f>
        <v>70.67307692307693</v>
      </c>
      <c r="T16" s="5">
        <v>30</v>
      </c>
      <c r="U16" s="6">
        <v>50</v>
      </c>
      <c r="V16" s="6">
        <f t="shared" si="11"/>
        <v>9</v>
      </c>
      <c r="W16" s="15">
        <f>M16*V16*U16/100</f>
        <v>106.00961538461542</v>
      </c>
      <c r="X16" s="16">
        <f>M16*V16</f>
        <v>212.0192307692308</v>
      </c>
      <c r="Y16" s="5">
        <v>60</v>
      </c>
      <c r="Z16" s="6">
        <v>85</v>
      </c>
      <c r="AA16" s="6">
        <f t="shared" si="12"/>
        <v>1</v>
      </c>
      <c r="AB16" s="15">
        <f>M16*AA16*Z16/100</f>
        <v>20.024038461538463</v>
      </c>
      <c r="AC16" s="16">
        <f>M16*AA16</f>
        <v>23.55769230769231</v>
      </c>
      <c r="AD16" s="21">
        <f t="shared" si="2"/>
        <v>106.00961538461542</v>
      </c>
      <c r="AE16" s="16">
        <f t="shared" si="7"/>
        <v>212.0192307692308</v>
      </c>
      <c r="AF16" s="21">
        <f t="shared" si="8"/>
        <v>6</v>
      </c>
      <c r="AG16" s="16">
        <f t="shared" si="9"/>
        <v>6</v>
      </c>
    </row>
    <row r="17" spans="1:33" ht="12.75">
      <c r="A17" s="106" t="s">
        <v>19</v>
      </c>
      <c r="B17" s="24"/>
      <c r="C17" s="8" t="s">
        <v>45</v>
      </c>
      <c r="D17" s="117">
        <v>0</v>
      </c>
      <c r="E17" s="68">
        <f t="shared" si="3"/>
        <v>100</v>
      </c>
      <c r="F17" s="9">
        <v>80</v>
      </c>
      <c r="G17" s="17">
        <f t="shared" si="4"/>
        <v>80</v>
      </c>
      <c r="H17" s="17">
        <f t="shared" si="5"/>
        <v>0</v>
      </c>
      <c r="I17" s="17">
        <f t="shared" si="10"/>
        <v>160</v>
      </c>
      <c r="J17" s="17">
        <f>MAX(0,H17-Armour)</f>
        <v>0</v>
      </c>
      <c r="K17" s="17">
        <f>MAX(0,I17-Armour)</f>
        <v>126</v>
      </c>
      <c r="L17" s="82">
        <f t="shared" si="6"/>
        <v>0.7875</v>
      </c>
      <c r="M17" s="57">
        <f>(AVERAGE(J17,K17))*L17*IF(D17=1,TerrorAreaMult,1)</f>
        <v>49.6125</v>
      </c>
      <c r="N17" s="24">
        <v>28</v>
      </c>
      <c r="O17" s="8">
        <v>30</v>
      </c>
      <c r="P17" s="9">
        <v>86</v>
      </c>
      <c r="Q17" s="9">
        <f t="shared" si="0"/>
        <v>3</v>
      </c>
      <c r="R17" s="2">
        <f>M17*Q17*P17/100</f>
        <v>128.00024999999997</v>
      </c>
      <c r="S17" s="18">
        <f>M17*Q17</f>
        <v>148.83749999999998</v>
      </c>
      <c r="T17" s="8">
        <v>36</v>
      </c>
      <c r="U17" s="9">
        <v>55</v>
      </c>
      <c r="V17" s="9">
        <f t="shared" si="11"/>
        <v>6</v>
      </c>
      <c r="W17" s="17">
        <f>M17*V17*U17/100</f>
        <v>163.72124999999997</v>
      </c>
      <c r="X17" s="18">
        <f>M17*V17</f>
        <v>297.67499999999995</v>
      </c>
      <c r="Y17" s="8">
        <v>60</v>
      </c>
      <c r="Z17" s="9">
        <v>100</v>
      </c>
      <c r="AA17" s="9">
        <f t="shared" si="12"/>
        <v>1</v>
      </c>
      <c r="AB17" s="17">
        <f>M17*AA17*Z17/100</f>
        <v>49.6125</v>
      </c>
      <c r="AC17" s="18">
        <f>M17*AA17</f>
        <v>49.6125</v>
      </c>
      <c r="AD17" s="23">
        <f t="shared" si="2"/>
        <v>163.72124999999997</v>
      </c>
      <c r="AE17" s="18">
        <f t="shared" si="7"/>
        <v>297.67499999999995</v>
      </c>
      <c r="AF17" s="23">
        <f t="shared" si="8"/>
        <v>3</v>
      </c>
      <c r="AG17" s="18">
        <f t="shared" si="9"/>
        <v>3</v>
      </c>
    </row>
    <row r="18" spans="1:33" ht="12.75">
      <c r="A18" s="107" t="s">
        <v>26</v>
      </c>
      <c r="B18" s="28"/>
      <c r="C18" s="12" t="s">
        <v>45</v>
      </c>
      <c r="D18" s="13">
        <v>0</v>
      </c>
      <c r="E18" s="69">
        <f t="shared" si="3"/>
        <v>100</v>
      </c>
      <c r="F18" s="13">
        <v>115</v>
      </c>
      <c r="G18" s="19">
        <f t="shared" si="4"/>
        <v>115</v>
      </c>
      <c r="H18" s="19">
        <f t="shared" si="5"/>
        <v>0</v>
      </c>
      <c r="I18" s="19">
        <f t="shared" si="10"/>
        <v>230</v>
      </c>
      <c r="J18" s="19">
        <f>MAX(0,H18-Armour)</f>
        <v>0</v>
      </c>
      <c r="K18" s="19">
        <f>MAX(0,I18-Armour)</f>
        <v>196</v>
      </c>
      <c r="L18" s="83">
        <f t="shared" si="6"/>
        <v>0.8521739130434782</v>
      </c>
      <c r="M18" s="58">
        <f>(AVERAGE(J18,K18))*L18*IF(D18=1,TerrorAreaMult,1)</f>
        <v>83.51304347826087</v>
      </c>
      <c r="N18" s="28">
        <v>35</v>
      </c>
      <c r="O18" s="12">
        <v>30</v>
      </c>
      <c r="P18" s="13">
        <v>75</v>
      </c>
      <c r="Q18" s="13">
        <f t="shared" si="0"/>
        <v>3</v>
      </c>
      <c r="R18" s="14">
        <f>M18*Q18*P18/100</f>
        <v>187.90434782608696</v>
      </c>
      <c r="S18" s="20">
        <f>M18*Q18</f>
        <v>250.5391304347826</v>
      </c>
      <c r="T18" s="12">
        <v>35</v>
      </c>
      <c r="U18" s="13">
        <v>50</v>
      </c>
      <c r="V18" s="13">
        <f t="shared" si="11"/>
        <v>6</v>
      </c>
      <c r="W18" s="19">
        <f>M18*V18*U18/100</f>
        <v>250.5391304347826</v>
      </c>
      <c r="X18" s="20">
        <f>M18*V18</f>
        <v>501.0782608695652</v>
      </c>
      <c r="Y18" s="12">
        <v>60</v>
      </c>
      <c r="Z18" s="13">
        <v>110</v>
      </c>
      <c r="AA18" s="13">
        <f t="shared" si="12"/>
        <v>1</v>
      </c>
      <c r="AB18" s="19">
        <f>M18*AA18*Z18/100</f>
        <v>91.86434782608696</v>
      </c>
      <c r="AC18" s="20">
        <f>M18*AA18</f>
        <v>83.51304347826087</v>
      </c>
      <c r="AD18" s="27">
        <f t="shared" si="2"/>
        <v>250.5391304347826</v>
      </c>
      <c r="AE18" s="20">
        <f t="shared" si="7"/>
        <v>501.0782608695652</v>
      </c>
      <c r="AF18" s="27">
        <f t="shared" si="8"/>
        <v>2</v>
      </c>
      <c r="AG18" s="20">
        <f t="shared" si="9"/>
        <v>1</v>
      </c>
    </row>
    <row r="19" spans="1:33" ht="12.75">
      <c r="A19" s="105" t="s">
        <v>33</v>
      </c>
      <c r="B19" s="22"/>
      <c r="C19" s="87" t="s">
        <v>30</v>
      </c>
      <c r="D19" s="67">
        <v>1</v>
      </c>
      <c r="E19" s="67">
        <f t="shared" si="3"/>
        <v>60</v>
      </c>
      <c r="F19" s="6">
        <v>200</v>
      </c>
      <c r="G19" s="15">
        <f t="shared" si="4"/>
        <v>120</v>
      </c>
      <c r="H19" s="15">
        <f t="shared" si="5"/>
        <v>60</v>
      </c>
      <c r="I19" s="15">
        <f t="shared" si="10"/>
        <v>180</v>
      </c>
      <c r="J19" s="15">
        <f>MAX(0,H19-Armour)</f>
        <v>26</v>
      </c>
      <c r="K19" s="15">
        <f>MAX(0,I19-Armour)</f>
        <v>146</v>
      </c>
      <c r="L19" s="81">
        <f t="shared" si="6"/>
        <v>1</v>
      </c>
      <c r="M19" s="56">
        <f>(AVERAGE(J19,K19))*L19*IF(D19=1,TerrorAreaMult,1)</f>
        <v>215</v>
      </c>
      <c r="N19" s="22">
        <v>1</v>
      </c>
      <c r="O19" s="5">
        <v>66</v>
      </c>
      <c r="P19" s="6">
        <v>100</v>
      </c>
      <c r="Q19" s="6">
        <f t="shared" si="0"/>
        <v>1</v>
      </c>
      <c r="R19" s="7">
        <f>M19*Q19*P19/100</f>
        <v>215</v>
      </c>
      <c r="S19" s="16">
        <f>M19*Q19</f>
        <v>215</v>
      </c>
      <c r="T19" s="5"/>
      <c r="U19" s="6">
        <v>0</v>
      </c>
      <c r="V19" s="6"/>
      <c r="W19" s="15"/>
      <c r="X19" s="16"/>
      <c r="Y19" s="5">
        <v>80</v>
      </c>
      <c r="Z19" s="6">
        <v>120</v>
      </c>
      <c r="AA19" s="6">
        <f t="shared" si="12"/>
        <v>1</v>
      </c>
      <c r="AB19" s="15">
        <f>M19*AA19*Z19/100</f>
        <v>258</v>
      </c>
      <c r="AC19" s="16">
        <f>M19*AA19</f>
        <v>215</v>
      </c>
      <c r="AD19" s="21">
        <f t="shared" si="2"/>
        <v>258</v>
      </c>
      <c r="AE19" s="16">
        <f t="shared" si="7"/>
        <v>215</v>
      </c>
      <c r="AF19" s="21">
        <f t="shared" si="8"/>
        <v>1</v>
      </c>
      <c r="AG19" s="16">
        <f t="shared" si="9"/>
        <v>5</v>
      </c>
    </row>
    <row r="20" spans="1:33" ht="12.75">
      <c r="A20" s="107" t="s">
        <v>32</v>
      </c>
      <c r="B20" s="28"/>
      <c r="C20" s="12" t="s">
        <v>44</v>
      </c>
      <c r="D20" s="13">
        <v>1</v>
      </c>
      <c r="E20" s="69">
        <f t="shared" si="3"/>
        <v>100</v>
      </c>
      <c r="F20" s="13">
        <v>90</v>
      </c>
      <c r="G20" s="19">
        <f t="shared" si="4"/>
        <v>90</v>
      </c>
      <c r="H20" s="19">
        <f t="shared" si="5"/>
        <v>0</v>
      </c>
      <c r="I20" s="19">
        <f t="shared" si="10"/>
        <v>180</v>
      </c>
      <c r="J20" s="19">
        <f>MAX(0,H20-Armour)</f>
        <v>0</v>
      </c>
      <c r="K20" s="19">
        <f>MAX(0,I20-Armour)</f>
        <v>146</v>
      </c>
      <c r="L20" s="83">
        <f t="shared" si="6"/>
        <v>0.8111111111111111</v>
      </c>
      <c r="M20" s="58">
        <f>(AVERAGE(J20,K20))*L20*IF(D20=1,TerrorAreaMult,1)</f>
        <v>148.02777777777777</v>
      </c>
      <c r="N20" s="28">
        <v>1</v>
      </c>
      <c r="O20" s="12">
        <v>40</v>
      </c>
      <c r="P20" s="13">
        <v>65</v>
      </c>
      <c r="Q20" s="13">
        <f t="shared" si="0"/>
        <v>1</v>
      </c>
      <c r="R20" s="14">
        <f>M20*Q20*P20/100</f>
        <v>96.21805555555555</v>
      </c>
      <c r="S20" s="20">
        <f>M20*Q20</f>
        <v>148.02777777777777</v>
      </c>
      <c r="T20" s="12"/>
      <c r="U20" s="13">
        <v>0</v>
      </c>
      <c r="V20" s="13"/>
      <c r="W20" s="19"/>
      <c r="X20" s="20"/>
      <c r="Y20" s="12">
        <v>75</v>
      </c>
      <c r="Z20" s="13">
        <v>110</v>
      </c>
      <c r="AA20" s="13">
        <f t="shared" si="12"/>
        <v>1</v>
      </c>
      <c r="AB20" s="19">
        <f>M20*AA20*Z20/100</f>
        <v>162.83055555555555</v>
      </c>
      <c r="AC20" s="20">
        <f>M20*AA20</f>
        <v>148.02777777777777</v>
      </c>
      <c r="AD20" s="27">
        <f t="shared" si="2"/>
        <v>162.83055555555555</v>
      </c>
      <c r="AE20" s="20">
        <f t="shared" si="7"/>
        <v>148.02777777777777</v>
      </c>
      <c r="AF20" s="27">
        <f t="shared" si="8"/>
        <v>4</v>
      </c>
      <c r="AG20" s="20">
        <f t="shared" si="9"/>
        <v>8</v>
      </c>
    </row>
    <row r="21" spans="1:33" ht="12.75">
      <c r="A21" s="105" t="s">
        <v>23</v>
      </c>
      <c r="B21" s="22"/>
      <c r="C21" s="87" t="s">
        <v>30</v>
      </c>
      <c r="D21" s="67">
        <v>1</v>
      </c>
      <c r="E21" s="67">
        <f t="shared" si="3"/>
        <v>60</v>
      </c>
      <c r="F21" s="6">
        <v>50</v>
      </c>
      <c r="G21" s="15">
        <f t="shared" si="4"/>
        <v>30</v>
      </c>
      <c r="H21" s="15">
        <f t="shared" si="5"/>
        <v>15</v>
      </c>
      <c r="I21" s="15">
        <f t="shared" si="10"/>
        <v>45</v>
      </c>
      <c r="J21" s="15">
        <f>MAX(0,H21-Armour)</f>
        <v>0</v>
      </c>
      <c r="K21" s="15">
        <f>MAX(0,I21-Armour)</f>
        <v>11</v>
      </c>
      <c r="L21" s="81">
        <f t="shared" si="6"/>
        <v>0.36666666666666664</v>
      </c>
      <c r="M21" s="56">
        <f>(AVERAGE(J21,K21))*L21*IF(D21=1,TerrorAreaMult,1)</f>
        <v>5.041666666666666</v>
      </c>
      <c r="N21" s="22"/>
      <c r="O21" s="5"/>
      <c r="P21" s="6"/>
      <c r="Q21" s="6">
        <v>1</v>
      </c>
      <c r="R21" s="7"/>
      <c r="S21" s="16">
        <f>M21*Q21</f>
        <v>5.041666666666666</v>
      </c>
      <c r="T21" s="5"/>
      <c r="U21" s="6"/>
      <c r="V21" s="6"/>
      <c r="W21" s="15"/>
      <c r="X21" s="16"/>
      <c r="Y21" s="5"/>
      <c r="Z21" s="6"/>
      <c r="AA21" s="6"/>
      <c r="AB21" s="15"/>
      <c r="AC21" s="16"/>
      <c r="AD21" s="21"/>
      <c r="AE21" s="16">
        <f t="shared" si="7"/>
        <v>5.041666666666666</v>
      </c>
      <c r="AF21" s="21"/>
      <c r="AG21" s="16">
        <f t="shared" si="9"/>
        <v>19</v>
      </c>
    </row>
    <row r="22" spans="1:33" s="1" customFormat="1" ht="12.75">
      <c r="A22" s="106" t="s">
        <v>24</v>
      </c>
      <c r="B22" s="26"/>
      <c r="C22" s="85" t="s">
        <v>30</v>
      </c>
      <c r="D22" s="118">
        <v>1</v>
      </c>
      <c r="E22" s="68">
        <f t="shared" si="3"/>
        <v>60</v>
      </c>
      <c r="F22" s="9">
        <v>110</v>
      </c>
      <c r="G22" s="17">
        <f t="shared" si="4"/>
        <v>66</v>
      </c>
      <c r="H22" s="17">
        <f t="shared" si="5"/>
        <v>33</v>
      </c>
      <c r="I22" s="17">
        <f t="shared" si="10"/>
        <v>99</v>
      </c>
      <c r="J22" s="17">
        <f>MAX(0,H22-Armour)</f>
        <v>0</v>
      </c>
      <c r="K22" s="17">
        <f>MAX(0,I22-Armour)</f>
        <v>65</v>
      </c>
      <c r="L22" s="82">
        <f t="shared" si="6"/>
        <v>0.9848484848484849</v>
      </c>
      <c r="M22" s="57">
        <f>(AVERAGE(J22,K22))*L22*IF(D22=1,TerrorAreaMult,1)</f>
        <v>80.01893939393939</v>
      </c>
      <c r="N22" s="26"/>
      <c r="O22" s="11"/>
      <c r="Q22" s="1">
        <v>1</v>
      </c>
      <c r="R22" s="2"/>
      <c r="S22" s="18">
        <f>M22*Q22</f>
        <v>80.01893939393939</v>
      </c>
      <c r="T22" s="11"/>
      <c r="W22" s="2"/>
      <c r="X22" s="18"/>
      <c r="Y22" s="11"/>
      <c r="AB22" s="2"/>
      <c r="AC22" s="18"/>
      <c r="AD22" s="25"/>
      <c r="AE22" s="18">
        <f t="shared" si="7"/>
        <v>80.01893939393939</v>
      </c>
      <c r="AF22" s="25"/>
      <c r="AG22" s="18">
        <f t="shared" si="9"/>
        <v>10</v>
      </c>
    </row>
    <row r="23" spans="1:33" ht="12.75">
      <c r="A23" s="107" t="s">
        <v>31</v>
      </c>
      <c r="B23" s="28"/>
      <c r="C23" s="86" t="s">
        <v>30</v>
      </c>
      <c r="D23" s="69">
        <v>1</v>
      </c>
      <c r="E23" s="69">
        <f t="shared" si="3"/>
        <v>60</v>
      </c>
      <c r="F23" s="13">
        <v>90</v>
      </c>
      <c r="G23" s="19">
        <f t="shared" si="4"/>
        <v>54</v>
      </c>
      <c r="H23" s="19">
        <f t="shared" si="5"/>
        <v>27</v>
      </c>
      <c r="I23" s="19">
        <f t="shared" si="10"/>
        <v>81</v>
      </c>
      <c r="J23" s="19">
        <f>MAX(0,H23-Armour)</f>
        <v>0</v>
      </c>
      <c r="K23" s="19">
        <f>MAX(0,I23-Armour)</f>
        <v>47</v>
      </c>
      <c r="L23" s="83">
        <f t="shared" si="6"/>
        <v>0.8703703703703703</v>
      </c>
      <c r="M23" s="58">
        <f>(AVERAGE(J23,K23))*L23*IF(D23=1,TerrorAreaMult,1)</f>
        <v>51.13425925925925</v>
      </c>
      <c r="N23" s="28"/>
      <c r="O23" s="12"/>
      <c r="P23" s="13"/>
      <c r="Q23" s="13">
        <v>1</v>
      </c>
      <c r="R23" s="14"/>
      <c r="S23" s="20">
        <f>M23*Q23</f>
        <v>51.13425925925925</v>
      </c>
      <c r="T23" s="12"/>
      <c r="U23" s="13"/>
      <c r="V23" s="13"/>
      <c r="W23" s="19"/>
      <c r="X23" s="20"/>
      <c r="Y23" s="12"/>
      <c r="Z23" s="13"/>
      <c r="AA23" s="13"/>
      <c r="AB23" s="19"/>
      <c r="AC23" s="20"/>
      <c r="AD23" s="27"/>
      <c r="AE23" s="20">
        <f t="shared" si="7"/>
        <v>51.13425925925925</v>
      </c>
      <c r="AF23" s="27"/>
      <c r="AG23" s="20">
        <f t="shared" si="9"/>
        <v>13</v>
      </c>
    </row>
    <row r="24" spans="1:33" ht="12.75">
      <c r="A24" s="6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S24" s="17"/>
      <c r="T24" s="9"/>
      <c r="U24" s="9"/>
      <c r="V24" s="9"/>
      <c r="W24" s="17"/>
      <c r="X24" s="17"/>
      <c r="Y24" s="9"/>
      <c r="Z24" s="9"/>
      <c r="AA24" s="9"/>
      <c r="AB24" s="17"/>
      <c r="AC24" s="17"/>
      <c r="AD24" s="17"/>
      <c r="AE24" s="17"/>
      <c r="AF24" s="9"/>
      <c r="AG24" s="9"/>
    </row>
    <row r="25" spans="1:31" s="1" customFormat="1" ht="12.75">
      <c r="A25" s="66" t="s">
        <v>89</v>
      </c>
      <c r="R25" s="2"/>
      <c r="S25" s="2"/>
      <c r="W25" s="2"/>
      <c r="X25" s="2"/>
      <c r="AB25" s="2"/>
      <c r="AC25" s="2"/>
      <c r="AD25" s="2"/>
      <c r="AE25" s="2"/>
    </row>
    <row r="26" spans="1:31" s="1" customFormat="1" ht="12.75">
      <c r="A26" s="37" t="s">
        <v>103</v>
      </c>
      <c r="R26" s="2"/>
      <c r="S26" s="2"/>
      <c r="W26" s="2"/>
      <c r="X26" s="2"/>
      <c r="Y26" s="1" t="s">
        <v>74</v>
      </c>
      <c r="AB26" s="72" t="s">
        <v>75</v>
      </c>
      <c r="AC26" s="33"/>
      <c r="AD26" s="2"/>
      <c r="AE26" s="2"/>
    </row>
    <row r="27" spans="1:29" ht="12.75">
      <c r="A27" t="s">
        <v>34</v>
      </c>
      <c r="AB27" s="115">
        <v>2.5</v>
      </c>
      <c r="AC27" s="3" t="s">
        <v>102</v>
      </c>
    </row>
    <row r="28" spans="1:28" ht="12.75">
      <c r="A28" s="90" t="s">
        <v>88</v>
      </c>
      <c r="Y28" s="1" t="s">
        <v>38</v>
      </c>
      <c r="Z28" s="1"/>
      <c r="AA28" s="1"/>
      <c r="AB28" s="4">
        <v>34</v>
      </c>
    </row>
    <row r="29" ht="12.75">
      <c r="A29" t="s">
        <v>40</v>
      </c>
    </row>
    <row r="30" spans="1:25" ht="12.75">
      <c r="A30" t="s">
        <v>99</v>
      </c>
      <c r="Y30" t="s">
        <v>46</v>
      </c>
    </row>
    <row r="31" spans="1:30" ht="12.75">
      <c r="A31" s="9" t="s">
        <v>41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T31" s="9"/>
      <c r="U31" s="9"/>
      <c r="V31" s="9"/>
      <c r="W31" s="17"/>
      <c r="AA31" s="3" t="s">
        <v>29</v>
      </c>
      <c r="AB31" s="100">
        <v>80</v>
      </c>
      <c r="AC31" s="56">
        <v>0</v>
      </c>
      <c r="AD31" s="60">
        <v>2</v>
      </c>
    </row>
    <row r="32" spans="1:30" ht="12.75">
      <c r="A32" s="73" t="s">
        <v>76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13"/>
      <c r="U32" s="13"/>
      <c r="V32" s="13"/>
      <c r="W32" s="19"/>
      <c r="AA32" s="3" t="s">
        <v>30</v>
      </c>
      <c r="AB32" s="101">
        <v>60</v>
      </c>
      <c r="AC32" s="57">
        <v>0.5</v>
      </c>
      <c r="AD32" s="61">
        <v>1.5</v>
      </c>
    </row>
    <row r="33" spans="1:30" ht="12.75">
      <c r="A33" t="s">
        <v>39</v>
      </c>
      <c r="AA33" s="79" t="s">
        <v>43</v>
      </c>
      <c r="AB33" s="101">
        <v>100</v>
      </c>
      <c r="AC33" s="71">
        <v>1</v>
      </c>
      <c r="AD33" s="98">
        <v>1</v>
      </c>
    </row>
    <row r="34" spans="1:30" ht="12.75">
      <c r="A34" t="s">
        <v>35</v>
      </c>
      <c r="AA34" s="3" t="s">
        <v>42</v>
      </c>
      <c r="AB34" s="101">
        <v>100</v>
      </c>
      <c r="AC34" s="57">
        <v>0</v>
      </c>
      <c r="AD34" s="61">
        <v>2</v>
      </c>
    </row>
    <row r="35" spans="1:30" ht="12.75">
      <c r="A35" t="s">
        <v>86</v>
      </c>
      <c r="AA35" s="3" t="s">
        <v>45</v>
      </c>
      <c r="AB35" s="101">
        <v>100</v>
      </c>
      <c r="AC35" s="57">
        <v>0</v>
      </c>
      <c r="AD35" s="61">
        <v>2</v>
      </c>
    </row>
    <row r="36" spans="1:30" ht="12.75">
      <c r="A36" t="s">
        <v>87</v>
      </c>
      <c r="AA36" s="3" t="s">
        <v>44</v>
      </c>
      <c r="AB36" s="102">
        <v>100</v>
      </c>
      <c r="AC36" s="58">
        <v>0</v>
      </c>
      <c r="AD36" s="62">
        <v>2</v>
      </c>
    </row>
    <row r="37" spans="29:30" ht="12.75">
      <c r="AC37" s="97" t="s">
        <v>90</v>
      </c>
      <c r="AD37" s="97" t="s">
        <v>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H23" sqref="H23"/>
    </sheetView>
  </sheetViews>
  <sheetFormatPr defaultColWidth="9.140625" defaultRowHeight="12.75"/>
  <cols>
    <col min="1" max="1" width="10.7109375" style="0" customWidth="1"/>
  </cols>
  <sheetData>
    <row r="1" ht="13.5" thickBot="1"/>
    <row r="2" spans="1:15" ht="13.5" thickTop="1">
      <c r="A2" s="74" t="s">
        <v>47</v>
      </c>
      <c r="B2" s="76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2.75">
      <c r="A3" s="75"/>
      <c r="B3" s="50" t="s">
        <v>49</v>
      </c>
      <c r="C3" s="50" t="s">
        <v>50</v>
      </c>
      <c r="D3" s="50" t="s">
        <v>51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59</v>
      </c>
      <c r="M3" s="50" t="s">
        <v>60</v>
      </c>
      <c r="N3" s="50" t="s">
        <v>61</v>
      </c>
      <c r="O3" s="51" t="s">
        <v>62</v>
      </c>
    </row>
    <row r="4" spans="1:15" ht="25.5">
      <c r="A4" s="52" t="s">
        <v>63</v>
      </c>
      <c r="B4" s="53">
        <v>100</v>
      </c>
      <c r="C4" s="53">
        <v>100</v>
      </c>
      <c r="D4" s="53">
        <v>100</v>
      </c>
      <c r="E4" s="53">
        <v>100</v>
      </c>
      <c r="F4" s="53">
        <v>100</v>
      </c>
      <c r="G4" s="53">
        <v>100</v>
      </c>
      <c r="H4" s="53">
        <v>100</v>
      </c>
      <c r="I4" s="53">
        <v>60</v>
      </c>
      <c r="J4" s="53">
        <v>100</v>
      </c>
      <c r="K4" s="53">
        <v>100</v>
      </c>
      <c r="L4" s="53">
        <v>100</v>
      </c>
      <c r="M4" s="53">
        <v>100</v>
      </c>
      <c r="N4" s="53">
        <v>80</v>
      </c>
      <c r="O4" s="54">
        <v>60</v>
      </c>
    </row>
    <row r="5" spans="1:15" ht="25.5">
      <c r="A5" s="39" t="s">
        <v>65</v>
      </c>
      <c r="B5" s="38">
        <v>100</v>
      </c>
      <c r="C5" s="38">
        <v>100</v>
      </c>
      <c r="D5" s="38">
        <v>100</v>
      </c>
      <c r="E5" s="38">
        <v>100</v>
      </c>
      <c r="F5" s="38">
        <v>75</v>
      </c>
      <c r="G5" s="38">
        <v>100</v>
      </c>
      <c r="H5" s="38">
        <v>100</v>
      </c>
      <c r="I5" s="38">
        <v>100</v>
      </c>
      <c r="J5" s="38">
        <v>130</v>
      </c>
      <c r="K5" s="38">
        <v>100</v>
      </c>
      <c r="L5" s="38">
        <v>100</v>
      </c>
      <c r="M5" s="38">
        <v>80</v>
      </c>
      <c r="N5" s="38">
        <v>60</v>
      </c>
      <c r="O5" s="40">
        <v>80</v>
      </c>
    </row>
    <row r="6" spans="1:15" ht="12.75">
      <c r="A6" s="39" t="s">
        <v>64</v>
      </c>
      <c r="B6" s="38">
        <v>100</v>
      </c>
      <c r="C6" s="38">
        <v>100</v>
      </c>
      <c r="D6" s="38">
        <v>0</v>
      </c>
      <c r="E6" s="38">
        <v>0</v>
      </c>
      <c r="F6" s="38">
        <v>40</v>
      </c>
      <c r="G6" s="38">
        <v>70</v>
      </c>
      <c r="H6" s="38">
        <v>70</v>
      </c>
      <c r="I6" s="38">
        <v>100</v>
      </c>
      <c r="J6" s="38">
        <v>0</v>
      </c>
      <c r="K6" s="38">
        <v>80</v>
      </c>
      <c r="L6" s="38">
        <v>170</v>
      </c>
      <c r="M6" s="38">
        <v>100</v>
      </c>
      <c r="N6" s="38">
        <v>100</v>
      </c>
      <c r="O6" s="40">
        <v>100</v>
      </c>
    </row>
    <row r="7" spans="1:15" ht="12.75">
      <c r="A7" s="39" t="s">
        <v>66</v>
      </c>
      <c r="B7" s="38">
        <v>100</v>
      </c>
      <c r="C7" s="38">
        <v>100</v>
      </c>
      <c r="D7" s="38">
        <v>100</v>
      </c>
      <c r="E7" s="38">
        <v>100</v>
      </c>
      <c r="F7" s="38">
        <v>100</v>
      </c>
      <c r="G7" s="38">
        <v>100</v>
      </c>
      <c r="H7" s="38">
        <v>100</v>
      </c>
      <c r="I7" s="38">
        <v>100</v>
      </c>
      <c r="J7" s="38">
        <v>100</v>
      </c>
      <c r="K7" s="38">
        <v>100</v>
      </c>
      <c r="L7" s="38">
        <v>100</v>
      </c>
      <c r="M7" s="38">
        <v>150</v>
      </c>
      <c r="N7" s="38">
        <v>100</v>
      </c>
      <c r="O7" s="40">
        <v>70</v>
      </c>
    </row>
    <row r="8" spans="1:15" ht="12.75">
      <c r="A8" s="39" t="s">
        <v>67</v>
      </c>
      <c r="B8" s="38">
        <v>100</v>
      </c>
      <c r="C8" s="38">
        <v>100</v>
      </c>
      <c r="D8" s="38">
        <v>100</v>
      </c>
      <c r="E8" s="38">
        <v>100</v>
      </c>
      <c r="F8" s="38">
        <v>100</v>
      </c>
      <c r="G8" s="38">
        <v>100</v>
      </c>
      <c r="H8" s="38">
        <v>100</v>
      </c>
      <c r="I8" s="38">
        <v>100</v>
      </c>
      <c r="J8" s="38">
        <v>100</v>
      </c>
      <c r="K8" s="38">
        <v>100</v>
      </c>
      <c r="L8" s="38">
        <v>100</v>
      </c>
      <c r="M8" s="38">
        <v>80</v>
      </c>
      <c r="N8" s="38">
        <v>100</v>
      </c>
      <c r="O8" s="40">
        <v>70</v>
      </c>
    </row>
    <row r="9" spans="1:15" ht="12.75">
      <c r="A9" s="47" t="s">
        <v>44</v>
      </c>
      <c r="B9" s="48">
        <v>100</v>
      </c>
      <c r="C9" s="48">
        <v>100</v>
      </c>
      <c r="D9" s="48">
        <v>90</v>
      </c>
      <c r="E9" s="48">
        <v>80</v>
      </c>
      <c r="F9" s="48">
        <v>100</v>
      </c>
      <c r="G9" s="48">
        <v>100</v>
      </c>
      <c r="H9" s="48">
        <v>80</v>
      </c>
      <c r="I9" s="48">
        <v>100</v>
      </c>
      <c r="J9" s="48">
        <v>100</v>
      </c>
      <c r="K9" s="48">
        <v>90</v>
      </c>
      <c r="L9" s="48">
        <v>100</v>
      </c>
      <c r="M9" s="48">
        <v>100</v>
      </c>
      <c r="N9" s="48">
        <v>100</v>
      </c>
      <c r="O9" s="49">
        <v>0</v>
      </c>
    </row>
    <row r="10" spans="1:15" ht="12.75">
      <c r="A10" s="44" t="s">
        <v>68</v>
      </c>
      <c r="B10" s="45">
        <v>100</v>
      </c>
      <c r="C10" s="45">
        <v>120</v>
      </c>
      <c r="D10" s="45">
        <v>100</v>
      </c>
      <c r="E10" s="45">
        <v>100</v>
      </c>
      <c r="F10" s="45">
        <v>90</v>
      </c>
      <c r="G10" s="45">
        <v>100</v>
      </c>
      <c r="H10" s="45">
        <v>100</v>
      </c>
      <c r="I10" s="45">
        <v>100</v>
      </c>
      <c r="J10" s="45">
        <v>100</v>
      </c>
      <c r="K10" s="45">
        <v>100</v>
      </c>
      <c r="L10" s="45">
        <v>100</v>
      </c>
      <c r="M10" s="45">
        <v>100</v>
      </c>
      <c r="N10" s="45">
        <v>100</v>
      </c>
      <c r="O10" s="46">
        <v>100</v>
      </c>
    </row>
    <row r="11" spans="1:15" ht="13.5" thickBot="1">
      <c r="A11" s="41" t="s">
        <v>69</v>
      </c>
      <c r="B11" s="42">
        <v>100</v>
      </c>
      <c r="C11" s="42">
        <v>160</v>
      </c>
      <c r="D11" s="42">
        <v>110</v>
      </c>
      <c r="E11" s="42">
        <v>100</v>
      </c>
      <c r="F11" s="42">
        <v>40</v>
      </c>
      <c r="G11" s="42">
        <v>100</v>
      </c>
      <c r="H11" s="42">
        <v>100</v>
      </c>
      <c r="I11" s="42">
        <v>100</v>
      </c>
      <c r="J11" s="42">
        <v>100</v>
      </c>
      <c r="K11" s="42">
        <v>100</v>
      </c>
      <c r="L11" s="42">
        <v>100</v>
      </c>
      <c r="M11" s="42">
        <v>100</v>
      </c>
      <c r="N11" s="42">
        <v>100</v>
      </c>
      <c r="O11" s="43">
        <v>100</v>
      </c>
    </row>
    <row r="12" ht="13.5" thickTop="1"/>
    <row r="15" ht="12.75">
      <c r="A15" s="55" t="s">
        <v>93</v>
      </c>
    </row>
    <row r="16" ht="12.75">
      <c r="A16" s="99" t="s">
        <v>92</v>
      </c>
    </row>
  </sheetData>
  <mergeCells count="2">
    <mergeCell ref="A2:A3"/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 Ed Bishop</dc:creator>
  <cp:keywords/>
  <dc:description/>
  <cp:lastModifiedBy>Spike Robinson</cp:lastModifiedBy>
  <cp:lastPrinted>2008-09-02T00:49:08Z</cp:lastPrinted>
  <dcterms:created xsi:type="dcterms:W3CDTF">2008-04-04T19:19:49Z</dcterms:created>
  <dcterms:modified xsi:type="dcterms:W3CDTF">2008-09-02T01:19:40Z</dcterms:modified>
  <cp:category/>
  <cp:version/>
  <cp:contentType/>
  <cp:contentStatus/>
</cp:coreProperties>
</file>